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<sst xmlns="http://schemas.openxmlformats.org/spreadsheetml/2006/main" count="67" uniqueCount="55">
  <si>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災　害　援　護　資　金　　　償　還　計　画　表(２２年度決算見込額）</t>
  </si>
  <si>
    <r>
      <t xml:space="preserve">償還期限
</t>
    </r>
    <r>
      <rPr>
        <sz val="8"/>
        <rFont val="ＭＳ 明朝"/>
        <family val="1"/>
      </rPr>
      <t>(被災者　　
　→市町村)</t>
    </r>
  </si>
  <si>
    <t>米子市</t>
  </si>
  <si>
    <t>境港市</t>
  </si>
  <si>
    <t>南部町</t>
  </si>
  <si>
    <t>日吉津村</t>
  </si>
  <si>
    <t>伯耆町</t>
  </si>
  <si>
    <t>日野町</t>
  </si>
  <si>
    <r>
      <t xml:space="preserve">償還期限
</t>
    </r>
    <r>
      <rPr>
        <sz val="8"/>
        <rFont val="ＭＳ 明朝"/>
        <family val="1"/>
      </rPr>
      <t xml:space="preserve">(市町村→県)
</t>
    </r>
    <r>
      <rPr>
        <b/>
        <sz val="8"/>
        <rFont val="ＭＳ 明朝"/>
        <family val="1"/>
      </rPr>
      <t>（県→国）</t>
    </r>
  </si>
  <si>
    <r>
      <t>計</t>
    </r>
    <r>
      <rPr>
        <sz val="8"/>
        <rFont val="ＭＳ ゴシック"/>
        <family val="3"/>
      </rPr>
      <t xml:space="preserve">（市町村→県）
</t>
    </r>
    <r>
      <rPr>
        <sz val="11"/>
        <rFont val="ＭＳ ゴシック"/>
        <family val="3"/>
      </rPr>
      <t>【歳入予定】</t>
    </r>
  </si>
  <si>
    <t>計（県→国）
【歳出予定】</t>
  </si>
  <si>
    <t>年度別
歳出予算
(千円)</t>
  </si>
  <si>
    <t>合計額</t>
  </si>
  <si>
    <t>対市町村</t>
  </si>
  <si>
    <t>平成13年度末債権</t>
  </si>
  <si>
    <t>H14</t>
  </si>
  <si>
    <t>平成14年度末債権</t>
  </si>
  <si>
    <t>国庫償還済</t>
  </si>
  <si>
    <t>H15</t>
  </si>
  <si>
    <t>平成15年度末債権</t>
  </si>
  <si>
    <t>H16</t>
  </si>
  <si>
    <t>平成16年度末債権</t>
  </si>
  <si>
    <t>H17</t>
  </si>
  <si>
    <t>平成17年度末債権</t>
  </si>
  <si>
    <t>H18</t>
  </si>
  <si>
    <t>平成18年度末債権</t>
  </si>
  <si>
    <t>H19</t>
  </si>
  <si>
    <t>平成19年度末債権</t>
  </si>
  <si>
    <t>H20</t>
  </si>
  <si>
    <t>平成20年度末債権</t>
  </si>
  <si>
    <t>H21</t>
  </si>
  <si>
    <t>平成21年度末債権</t>
  </si>
  <si>
    <t>H22</t>
  </si>
  <si>
    <t>平成22年度末債権</t>
  </si>
  <si>
    <t>H23</t>
  </si>
  <si>
    <t>平成23年度末債権</t>
  </si>
  <si>
    <t>H24</t>
  </si>
  <si>
    <t>平成24年度末債権</t>
  </si>
  <si>
    <t>県償還額</t>
  </si>
  <si>
    <t>　</t>
  </si>
  <si>
    <t xml:space="preserve"> 県への償還額の2/3を半期後に国に償還する。（国要綱５）</t>
  </si>
  <si>
    <t>　　　○平成22年度所要額(国への償還)</t>
  </si>
  <si>
    <r>
      <t>H</t>
    </r>
    <r>
      <rPr>
        <sz val="11"/>
        <rFont val="ＭＳ Ｐゴシック"/>
        <family val="3"/>
      </rPr>
      <t>22</t>
    </r>
    <r>
      <rPr>
        <sz val="11"/>
        <rFont val="ＭＳ 明朝"/>
        <family val="1"/>
      </rPr>
      <t>.9月末</t>
    </r>
    <r>
      <rPr>
        <sz val="9"/>
        <rFont val="ＭＳ 明朝"/>
        <family val="1"/>
      </rPr>
      <t>期限</t>
    </r>
  </si>
  <si>
    <t>円</t>
  </si>
  <si>
    <r>
      <t>H</t>
    </r>
    <r>
      <rPr>
        <sz val="11"/>
        <rFont val="ＭＳ Ｐゴシック"/>
        <family val="3"/>
      </rPr>
      <t>23</t>
    </r>
    <r>
      <rPr>
        <sz val="11"/>
        <rFont val="ＭＳ 明朝"/>
        <family val="1"/>
      </rPr>
      <t>.3月末</t>
    </r>
    <r>
      <rPr>
        <sz val="9"/>
        <rFont val="ＭＳ 明朝"/>
        <family val="1"/>
      </rPr>
      <t>期限</t>
    </r>
  </si>
  <si>
    <t>円</t>
  </si>
  <si>
    <t>　　22年度歳入見込額</t>
  </si>
  <si>
    <t>円</t>
  </si>
  <si>
    <t>計</t>
  </si>
  <si>
    <t>　　　（うち、事業費充当</t>
  </si>
  <si>
    <t>円）</t>
  </si>
  <si>
    <t>（事業費充当額）</t>
  </si>
  <si>
    <t>（＝国への償還額）</t>
  </si>
  <si>
    <t>剰余財源</t>
  </si>
  <si>
    <t>　　　　平成22年10月1日現在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</si>
</sst>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\(#,##0\);[Red]\(\-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6"/>
      <name val="ＭＳ 明朝"/>
      <family val="1"/>
    </font>
    <font>
      <sz val="16"/>
      <name val="ＭＳ ゴシック"/>
      <family val="3"/>
    </font>
    <font>
      <b/>
      <sz val="11"/>
      <name val="ＭＳ 明朝"/>
      <family val="1"/>
    </font>
    <font>
      <b/>
      <sz val="11"/>
      <color indexed="10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b/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b/>
      <sz val="1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9"/>
      <color indexed="12"/>
      <name val="ＭＳ ゴシック"/>
      <family val="3"/>
    </font>
    <font>
      <b/>
      <sz val="10"/>
      <color indexed="12"/>
      <name val="ＭＳ 明朝"/>
      <family val="1"/>
    </font>
    <font>
      <b/>
      <u val="single"/>
      <sz val="11"/>
      <color indexed="12"/>
      <name val="ＭＳ 明朝"/>
      <family val="1"/>
    </font>
    <font>
      <sz val="11"/>
      <color indexed="12"/>
      <name val="ＭＳ 明朝"/>
      <family val="1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1"/>
      <color indexed="12"/>
      <name val="ＭＳ ゴシック"/>
      <family val="3"/>
    </font>
    <font>
      <sz val="9"/>
      <name val="ＭＳ 明朝"/>
      <family val="1"/>
    </font>
    <font>
      <b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thin"/>
      <right>
        <color indexed="63"/>
      </right>
      <top style="thin"/>
      <bottom style="dashDotDot"/>
    </border>
    <border>
      <left style="medium"/>
      <right style="medium"/>
      <top style="medium"/>
      <bottom style="dashDotDot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38" fontId="2" fillId="0" borderId="0" xfId="16" applyFont="1" applyFill="1" applyAlignment="1">
      <alignment/>
    </xf>
    <xf numFmtId="38" fontId="6" fillId="0" borderId="0" xfId="16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38" fontId="9" fillId="0" borderId="1" xfId="16" applyFont="1" applyFill="1" applyBorder="1" applyAlignment="1">
      <alignment horizontal="center" vertical="center"/>
    </xf>
    <xf numFmtId="38" fontId="9" fillId="0" borderId="2" xfId="16" applyFont="1" applyFill="1" applyBorder="1" applyAlignment="1">
      <alignment horizontal="center" vertical="center"/>
    </xf>
    <xf numFmtId="38" fontId="9" fillId="0" borderId="3" xfId="16" applyFont="1" applyFill="1" applyBorder="1" applyAlignment="1">
      <alignment horizontal="center" vertical="center"/>
    </xf>
    <xf numFmtId="38" fontId="11" fillId="0" borderId="4" xfId="16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vertical="center"/>
    </xf>
    <xf numFmtId="38" fontId="15" fillId="0" borderId="6" xfId="16" applyFont="1" applyFill="1" applyBorder="1" applyAlignment="1">
      <alignment vertical="center"/>
    </xf>
    <xf numFmtId="38" fontId="15" fillId="0" borderId="7" xfId="16" applyFont="1" applyFill="1" applyBorder="1" applyAlignment="1">
      <alignment vertical="center"/>
    </xf>
    <xf numFmtId="38" fontId="15" fillId="0" borderId="8" xfId="16" applyFont="1" applyFill="1" applyBorder="1" applyAlignment="1">
      <alignment vertical="center"/>
    </xf>
    <xf numFmtId="38" fontId="15" fillId="0" borderId="9" xfId="16" applyFont="1" applyFill="1" applyBorder="1" applyAlignment="1">
      <alignment vertical="center"/>
    </xf>
    <xf numFmtId="176" fontId="15" fillId="0" borderId="9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57" fontId="2" fillId="0" borderId="10" xfId="0" applyNumberFormat="1" applyFont="1" applyFill="1" applyBorder="1" applyAlignment="1">
      <alignment horizontal="center"/>
    </xf>
    <xf numFmtId="38" fontId="2" fillId="0" borderId="10" xfId="16" applyFont="1" applyFill="1" applyBorder="1" applyAlignment="1">
      <alignment/>
    </xf>
    <xf numFmtId="38" fontId="2" fillId="0" borderId="11" xfId="16" applyFont="1" applyFill="1" applyBorder="1" applyAlignment="1">
      <alignment/>
    </xf>
    <xf numFmtId="38" fontId="2" fillId="0" borderId="12" xfId="16" applyFont="1" applyFill="1" applyBorder="1" applyAlignment="1">
      <alignment/>
    </xf>
    <xf numFmtId="0" fontId="11" fillId="0" borderId="13" xfId="0" applyFont="1" applyFill="1" applyBorder="1" applyAlignment="1">
      <alignment/>
    </xf>
    <xf numFmtId="38" fontId="2" fillId="0" borderId="13" xfId="0" applyNumberFormat="1" applyFont="1" applyFill="1" applyBorder="1" applyAlignment="1">
      <alignment/>
    </xf>
    <xf numFmtId="57" fontId="2" fillId="0" borderId="14" xfId="0" applyNumberFormat="1" applyFont="1" applyFill="1" applyBorder="1" applyAlignment="1">
      <alignment horizontal="center"/>
    </xf>
    <xf numFmtId="38" fontId="2" fillId="0" borderId="14" xfId="16" applyFont="1" applyFill="1" applyBorder="1" applyAlignment="1">
      <alignment/>
    </xf>
    <xf numFmtId="38" fontId="2" fillId="0" borderId="15" xfId="16" applyFont="1" applyFill="1" applyBorder="1" applyAlignment="1">
      <alignment/>
    </xf>
    <xf numFmtId="38" fontId="2" fillId="0" borderId="16" xfId="16" applyFont="1" applyFill="1" applyBorder="1" applyAlignment="1">
      <alignment/>
    </xf>
    <xf numFmtId="57" fontId="2" fillId="0" borderId="17" xfId="0" applyNumberFormat="1" applyFont="1" applyFill="1" applyBorder="1" applyAlignment="1">
      <alignment horizontal="center"/>
    </xf>
    <xf numFmtId="38" fontId="2" fillId="0" borderId="18" xfId="16" applyFont="1" applyFill="1" applyBorder="1" applyAlignment="1">
      <alignment/>
    </xf>
    <xf numFmtId="38" fontId="2" fillId="0" borderId="19" xfId="16" applyFont="1" applyFill="1" applyBorder="1" applyAlignment="1">
      <alignment/>
    </xf>
    <xf numFmtId="0" fontId="11" fillId="0" borderId="20" xfId="0" applyFont="1" applyFill="1" applyBorder="1" applyAlignment="1">
      <alignment/>
    </xf>
    <xf numFmtId="57" fontId="2" fillId="0" borderId="21" xfId="0" applyNumberFormat="1" applyFont="1" applyFill="1" applyBorder="1" applyAlignment="1">
      <alignment horizontal="center"/>
    </xf>
    <xf numFmtId="38" fontId="2" fillId="0" borderId="21" xfId="16" applyFont="1" applyFill="1" applyBorder="1" applyAlignment="1">
      <alignment/>
    </xf>
    <xf numFmtId="38" fontId="2" fillId="0" borderId="22" xfId="16" applyFont="1" applyFill="1" applyBorder="1" applyAlignment="1">
      <alignment/>
    </xf>
    <xf numFmtId="38" fontId="2" fillId="0" borderId="23" xfId="16" applyFont="1" applyFill="1" applyBorder="1" applyAlignment="1">
      <alignment/>
    </xf>
    <xf numFmtId="0" fontId="11" fillId="0" borderId="24" xfId="0" applyFont="1" applyFill="1" applyBorder="1" applyAlignment="1">
      <alignment/>
    </xf>
    <xf numFmtId="38" fontId="2" fillId="0" borderId="0" xfId="0" applyNumberFormat="1" applyFont="1" applyFill="1" applyAlignment="1">
      <alignment/>
    </xf>
    <xf numFmtId="38" fontId="2" fillId="0" borderId="25" xfId="16" applyFont="1" applyFill="1" applyBorder="1" applyAlignment="1">
      <alignment/>
    </xf>
    <xf numFmtId="178" fontId="2" fillId="0" borderId="26" xfId="16" applyNumberFormat="1" applyFont="1" applyFill="1" applyBorder="1" applyAlignment="1">
      <alignment/>
    </xf>
    <xf numFmtId="178" fontId="2" fillId="0" borderId="27" xfId="16" applyNumberFormat="1" applyFont="1" applyFill="1" applyBorder="1" applyAlignment="1">
      <alignment/>
    </xf>
    <xf numFmtId="178" fontId="2" fillId="0" borderId="28" xfId="16" applyNumberFormat="1" applyFont="1" applyFill="1" applyBorder="1" applyAlignment="1">
      <alignment/>
    </xf>
    <xf numFmtId="57" fontId="2" fillId="0" borderId="29" xfId="0" applyNumberFormat="1" applyFont="1" applyFill="1" applyBorder="1" applyAlignment="1">
      <alignment horizontal="center"/>
    </xf>
    <xf numFmtId="38" fontId="2" fillId="0" borderId="30" xfId="16" applyFont="1" applyFill="1" applyBorder="1" applyAlignment="1">
      <alignment/>
    </xf>
    <xf numFmtId="38" fontId="2" fillId="0" borderId="31" xfId="16" applyFont="1" applyFill="1" applyBorder="1" applyAlignment="1">
      <alignment/>
    </xf>
    <xf numFmtId="177" fontId="11" fillId="0" borderId="32" xfId="0" applyNumberFormat="1" applyFont="1" applyFill="1" applyBorder="1" applyAlignment="1">
      <alignment/>
    </xf>
    <xf numFmtId="38" fontId="2" fillId="0" borderId="17" xfId="16" applyFont="1" applyFill="1" applyBorder="1" applyAlignment="1">
      <alignment/>
    </xf>
    <xf numFmtId="38" fontId="2" fillId="0" borderId="33" xfId="16" applyFont="1" applyFill="1" applyBorder="1" applyAlignment="1">
      <alignment/>
    </xf>
    <xf numFmtId="178" fontId="2" fillId="0" borderId="17" xfId="16" applyNumberFormat="1" applyFont="1" applyFill="1" applyBorder="1" applyAlignment="1">
      <alignment/>
    </xf>
    <xf numFmtId="38" fontId="2" fillId="0" borderId="34" xfId="16" applyFont="1" applyFill="1" applyBorder="1" applyAlignment="1">
      <alignment/>
    </xf>
    <xf numFmtId="38" fontId="2" fillId="0" borderId="35" xfId="16" applyFont="1" applyFill="1" applyBorder="1" applyAlignment="1">
      <alignment/>
    </xf>
    <xf numFmtId="177" fontId="11" fillId="0" borderId="20" xfId="0" applyNumberFormat="1" applyFont="1" applyFill="1" applyBorder="1" applyAlignment="1">
      <alignment/>
    </xf>
    <xf numFmtId="57" fontId="2" fillId="0" borderId="36" xfId="0" applyNumberFormat="1" applyFont="1" applyFill="1" applyBorder="1" applyAlignment="1">
      <alignment horizontal="center"/>
    </xf>
    <xf numFmtId="38" fontId="2" fillId="0" borderId="37" xfId="16" applyFont="1" applyFill="1" applyBorder="1" applyAlignment="1">
      <alignment/>
    </xf>
    <xf numFmtId="38" fontId="2" fillId="0" borderId="38" xfId="16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8" fontId="2" fillId="0" borderId="40" xfId="16" applyFont="1" applyFill="1" applyBorder="1" applyAlignment="1">
      <alignment/>
    </xf>
    <xf numFmtId="57" fontId="2" fillId="0" borderId="41" xfId="0" applyNumberFormat="1" applyFont="1" applyFill="1" applyBorder="1" applyAlignment="1">
      <alignment horizontal="center"/>
    </xf>
    <xf numFmtId="38" fontId="2" fillId="0" borderId="42" xfId="16" applyFont="1" applyFill="1" applyBorder="1" applyAlignment="1">
      <alignment/>
    </xf>
    <xf numFmtId="38" fontId="2" fillId="0" borderId="43" xfId="16" applyFont="1" applyFill="1" applyBorder="1" applyAlignment="1">
      <alignment/>
    </xf>
    <xf numFmtId="0" fontId="18" fillId="0" borderId="0" xfId="0" applyFont="1" applyFill="1" applyBorder="1" applyAlignment="1">
      <alignment/>
    </xf>
    <xf numFmtId="38" fontId="19" fillId="0" borderId="44" xfId="0" applyNumberFormat="1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38" fontId="20" fillId="0" borderId="0" xfId="0" applyNumberFormat="1" applyFont="1" applyFill="1" applyAlignment="1">
      <alignment/>
    </xf>
    <xf numFmtId="57" fontId="2" fillId="0" borderId="45" xfId="0" applyNumberFormat="1" applyFont="1" applyFill="1" applyBorder="1" applyAlignment="1">
      <alignment horizontal="center"/>
    </xf>
    <xf numFmtId="38" fontId="2" fillId="0" borderId="46" xfId="16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57" fontId="2" fillId="0" borderId="33" xfId="0" applyNumberFormat="1" applyFont="1" applyFill="1" applyBorder="1" applyAlignment="1">
      <alignment horizontal="center"/>
    </xf>
    <xf numFmtId="38" fontId="2" fillId="0" borderId="47" xfId="16" applyFont="1" applyFill="1" applyBorder="1" applyAlignment="1">
      <alignment/>
    </xf>
    <xf numFmtId="38" fontId="2" fillId="0" borderId="48" xfId="16" applyFont="1" applyFill="1" applyBorder="1" applyAlignment="1">
      <alignment/>
    </xf>
    <xf numFmtId="38" fontId="2" fillId="0" borderId="45" xfId="16" applyFont="1" applyFill="1" applyBorder="1" applyAlignment="1">
      <alignment/>
    </xf>
    <xf numFmtId="38" fontId="2" fillId="0" borderId="49" xfId="16" applyFont="1" applyFill="1" applyBorder="1" applyAlignment="1">
      <alignment/>
    </xf>
    <xf numFmtId="38" fontId="2" fillId="0" borderId="29" xfId="16" applyFont="1" applyFill="1" applyBorder="1" applyAlignment="1">
      <alignment/>
    </xf>
    <xf numFmtId="38" fontId="2" fillId="0" borderId="50" xfId="16" applyFont="1" applyFill="1" applyBorder="1" applyAlignment="1">
      <alignment/>
    </xf>
    <xf numFmtId="177" fontId="11" fillId="0" borderId="50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38" fontId="6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8" fontId="21" fillId="0" borderId="0" xfId="16" applyFont="1" applyFill="1" applyAlignment="1">
      <alignment/>
    </xf>
    <xf numFmtId="0" fontId="7" fillId="0" borderId="0" xfId="0" applyFont="1" applyFill="1" applyAlignment="1">
      <alignment/>
    </xf>
    <xf numFmtId="38" fontId="22" fillId="0" borderId="0" xfId="16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38" fontId="2" fillId="2" borderId="0" xfId="16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38" fontId="11" fillId="0" borderId="0" xfId="16" applyFont="1" applyFill="1" applyAlignment="1">
      <alignment/>
    </xf>
    <xf numFmtId="38" fontId="26" fillId="0" borderId="0" xfId="16" applyFont="1" applyFill="1" applyAlignment="1">
      <alignment/>
    </xf>
    <xf numFmtId="0" fontId="2" fillId="0" borderId="0" xfId="0" applyFont="1" applyFill="1" applyAlignment="1">
      <alignment horizontal="left"/>
    </xf>
    <xf numFmtId="38" fontId="2" fillId="2" borderId="0" xfId="16" applyFont="1" applyFill="1" applyAlignment="1">
      <alignment horizontal="center"/>
    </xf>
    <xf numFmtId="38" fontId="26" fillId="2" borderId="0" xfId="16" applyFont="1" applyFill="1" applyAlignment="1">
      <alignment horizontal="right"/>
    </xf>
    <xf numFmtId="38" fontId="11" fillId="2" borderId="0" xfId="16" applyFont="1" applyFill="1" applyAlignment="1">
      <alignment/>
    </xf>
    <xf numFmtId="38" fontId="26" fillId="2" borderId="0" xfId="16" applyFont="1" applyFill="1" applyAlignment="1">
      <alignment/>
    </xf>
    <xf numFmtId="0" fontId="2" fillId="2" borderId="0" xfId="0" applyFont="1" applyFill="1" applyAlignment="1">
      <alignment horizontal="left"/>
    </xf>
    <xf numFmtId="38" fontId="11" fillId="0" borderId="0" xfId="16" applyFont="1" applyFill="1" applyAlignment="1">
      <alignment horizontal="right"/>
    </xf>
    <xf numFmtId="0" fontId="0" fillId="0" borderId="0" xfId="0" applyFill="1" applyAlignment="1">
      <alignment/>
    </xf>
    <xf numFmtId="38" fontId="2" fillId="0" borderId="51" xfId="16" applyFont="1" applyFill="1" applyBorder="1" applyAlignment="1">
      <alignment/>
    </xf>
    <xf numFmtId="38" fontId="2" fillId="0" borderId="52" xfId="16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57" fontId="2" fillId="0" borderId="53" xfId="0" applyNumberFormat="1" applyFont="1" applyFill="1" applyBorder="1" applyAlignment="1">
      <alignment horizontal="center"/>
    </xf>
    <xf numFmtId="38" fontId="2" fillId="0" borderId="54" xfId="16" applyFont="1" applyFill="1" applyBorder="1" applyAlignment="1">
      <alignment/>
    </xf>
    <xf numFmtId="38" fontId="2" fillId="0" borderId="55" xfId="16" applyFont="1" applyFill="1" applyBorder="1" applyAlignment="1">
      <alignment/>
    </xf>
    <xf numFmtId="0" fontId="11" fillId="0" borderId="55" xfId="0" applyFont="1" applyFill="1" applyBorder="1" applyAlignment="1">
      <alignment/>
    </xf>
    <xf numFmtId="38" fontId="2" fillId="0" borderId="56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28600"/>
    <xdr:sp>
      <xdr:nvSpPr>
        <xdr:cNvPr id="1" name="TextBox 1"/>
        <xdr:cNvSpPr txBox="1">
          <a:spLocks noChangeArrowheads="1"/>
        </xdr:cNvSpPr>
      </xdr:nvSpPr>
      <xdr:spPr>
        <a:xfrm>
          <a:off x="26098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133350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2609850" y="4924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647700</xdr:colOff>
      <xdr:row>6</xdr:row>
      <xdr:rowOff>142875</xdr:rowOff>
    </xdr:from>
    <xdr:to>
      <xdr:col>5</xdr:col>
      <xdr:colOff>381000</xdr:colOff>
      <xdr:row>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219575" y="1638300"/>
          <a:ext cx="695325" cy="171450"/>
        </a:xfrm>
        <a:prstGeom prst="borderCallout2">
          <a:avLst>
            <a:gd name="adj1" fmla="val -121231"/>
            <a:gd name="adj2" fmla="val 75000"/>
            <a:gd name="adj3" fmla="val -84245"/>
            <a:gd name="adj4" fmla="val 9999"/>
            <a:gd name="adj5" fmla="val -60958"/>
            <a:gd name="adj6" fmla="val 9999"/>
            <a:gd name="adj7" fmla="val -145888"/>
            <a:gd name="adj8" fmla="val -1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繰上償還</a:t>
          </a:r>
        </a:p>
      </xdr:txBody>
    </xdr:sp>
    <xdr:clientData/>
  </xdr:twoCellAnchor>
  <xdr:twoCellAnchor>
    <xdr:from>
      <xdr:col>5</xdr:col>
      <xdr:colOff>133350</xdr:colOff>
      <xdr:row>23</xdr:row>
      <xdr:rowOff>76200</xdr:rowOff>
    </xdr:from>
    <xdr:to>
      <xdr:col>5</xdr:col>
      <xdr:colOff>876300</xdr:colOff>
      <xdr:row>25</xdr:row>
      <xdr:rowOff>19050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4667250" y="4524375"/>
          <a:ext cx="742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償還免除額
　2,608,747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E1">
      <selection activeCell="G26" sqref="G26"/>
    </sheetView>
  </sheetViews>
  <sheetFormatPr defaultColWidth="9.00390625" defaultRowHeight="13.5"/>
  <cols>
    <col min="2" max="11" width="12.625" style="0" customWidth="1"/>
    <col min="12" max="12" width="18.25390625" style="0" customWidth="1"/>
    <col min="13" max="13" width="13.875" style="0" customWidth="1"/>
    <col min="14" max="14" width="10.875" style="0" customWidth="1"/>
    <col min="15" max="15" width="13.875" style="0" customWidth="1"/>
  </cols>
  <sheetData>
    <row r="1" spans="1:15" ht="23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"/>
      <c r="M1" s="2"/>
      <c r="N1" s="2"/>
      <c r="O1" s="2"/>
    </row>
    <row r="2" spans="1:15" ht="14.25" thickBot="1">
      <c r="A2" s="3"/>
      <c r="B2" s="4"/>
      <c r="C2" s="4"/>
      <c r="D2" s="4"/>
      <c r="E2" s="4"/>
      <c r="F2" s="4"/>
      <c r="G2" s="4"/>
      <c r="H2" s="3"/>
      <c r="I2" s="4"/>
      <c r="J2" s="5"/>
      <c r="K2" s="6" t="s">
        <v>54</v>
      </c>
      <c r="L2" s="7"/>
      <c r="M2" s="8"/>
      <c r="N2" s="8"/>
      <c r="O2" s="8"/>
    </row>
    <row r="3" spans="1:15" ht="37.5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0" t="s">
        <v>7</v>
      </c>
      <c r="H3" s="9" t="s">
        <v>8</v>
      </c>
      <c r="I3" s="13" t="s">
        <v>9</v>
      </c>
      <c r="J3" s="14" t="s">
        <v>10</v>
      </c>
      <c r="K3" s="15" t="s">
        <v>11</v>
      </c>
      <c r="L3" s="16"/>
      <c r="M3" s="1"/>
      <c r="N3" s="1"/>
      <c r="O3" s="3"/>
    </row>
    <row r="4" spans="1:15" ht="15" thickBot="1">
      <c r="A4" s="17" t="s">
        <v>12</v>
      </c>
      <c r="B4" s="18">
        <f aca="true" t="shared" si="0" ref="B4:G4">SUM(B5:B27)</f>
        <v>162350000</v>
      </c>
      <c r="C4" s="18">
        <f t="shared" si="0"/>
        <v>17400000</v>
      </c>
      <c r="D4" s="18">
        <f t="shared" si="0"/>
        <v>6930000</v>
      </c>
      <c r="E4" s="18">
        <f t="shared" si="0"/>
        <v>5900000</v>
      </c>
      <c r="F4" s="19">
        <f>SUM(F5:F27)</f>
        <v>29191253</v>
      </c>
      <c r="G4" s="18">
        <f t="shared" si="0"/>
        <v>92300000</v>
      </c>
      <c r="H4" s="17"/>
      <c r="I4" s="20">
        <f aca="true" t="shared" si="1" ref="I4:I27">SUM(B4:G4)</f>
        <v>314071253</v>
      </c>
      <c r="J4" s="21">
        <f>SUM(J6:J27)</f>
        <v>209380835.33333334</v>
      </c>
      <c r="K4" s="22"/>
      <c r="L4" s="23" t="s">
        <v>13</v>
      </c>
      <c r="M4" s="24"/>
      <c r="N4" s="24"/>
      <c r="O4" s="24"/>
    </row>
    <row r="5" spans="1:15" ht="14.25" thickTop="1">
      <c r="A5" s="25">
        <v>37164</v>
      </c>
      <c r="B5" s="26">
        <f>5782302-85000</f>
        <v>5697302</v>
      </c>
      <c r="C5" s="26">
        <v>3000000</v>
      </c>
      <c r="D5" s="27"/>
      <c r="E5" s="26"/>
      <c r="F5" s="28"/>
      <c r="G5" s="26"/>
      <c r="H5" s="111">
        <v>37346</v>
      </c>
      <c r="I5" s="112">
        <f t="shared" si="1"/>
        <v>8697302</v>
      </c>
      <c r="J5" s="113"/>
      <c r="K5" s="114"/>
      <c r="L5" s="29" t="s">
        <v>14</v>
      </c>
      <c r="M5" s="30">
        <f>I4-I5</f>
        <v>305373951</v>
      </c>
      <c r="N5" s="8"/>
      <c r="O5" s="8"/>
    </row>
    <row r="6" spans="1:15" ht="13.5">
      <c r="A6" s="31">
        <v>37346</v>
      </c>
      <c r="B6" s="32">
        <v>8604524</v>
      </c>
      <c r="C6" s="32">
        <v>500000</v>
      </c>
      <c r="D6" s="33"/>
      <c r="E6" s="32"/>
      <c r="F6" s="34"/>
      <c r="G6" s="32"/>
      <c r="H6" s="59">
        <v>37529</v>
      </c>
      <c r="I6" s="60">
        <f t="shared" si="1"/>
        <v>9104524</v>
      </c>
      <c r="J6" s="61">
        <f aca="true" t="shared" si="2" ref="J6:J26">ROUNDDOWN(I5/3*2,0)</f>
        <v>5798201</v>
      </c>
      <c r="K6" s="62" t="s">
        <v>15</v>
      </c>
      <c r="L6" s="8"/>
      <c r="M6" s="8"/>
      <c r="N6" s="8"/>
      <c r="O6" s="8"/>
    </row>
    <row r="7" spans="1:15" ht="13.5">
      <c r="A7" s="39">
        <v>37529</v>
      </c>
      <c r="B7" s="40">
        <v>3377459</v>
      </c>
      <c r="C7" s="40"/>
      <c r="D7" s="41"/>
      <c r="E7" s="40"/>
      <c r="F7" s="42"/>
      <c r="G7" s="40"/>
      <c r="H7" s="72">
        <v>37711</v>
      </c>
      <c r="I7" s="50">
        <f t="shared" si="1"/>
        <v>3377459</v>
      </c>
      <c r="J7" s="51">
        <f t="shared" si="2"/>
        <v>6069682</v>
      </c>
      <c r="K7" s="52">
        <f>ROUNDUP((J6+J7),-3)/1000</f>
        <v>11868</v>
      </c>
      <c r="L7" s="43" t="s">
        <v>16</v>
      </c>
      <c r="M7" s="30">
        <f>I4-(I5+I6+I7)</f>
        <v>292891968</v>
      </c>
      <c r="N7" s="8" t="s">
        <v>17</v>
      </c>
      <c r="O7" s="44">
        <f>SUM(J6:J7)</f>
        <v>11867883</v>
      </c>
    </row>
    <row r="8" spans="1:15" ht="14.25" thickBot="1">
      <c r="A8" s="31">
        <v>37711</v>
      </c>
      <c r="B8" s="32">
        <v>10047539</v>
      </c>
      <c r="C8" s="32"/>
      <c r="D8" s="33"/>
      <c r="E8" s="32"/>
      <c r="F8" s="34"/>
      <c r="G8" s="40"/>
      <c r="H8" s="35">
        <v>37894</v>
      </c>
      <c r="I8" s="36">
        <f t="shared" si="1"/>
        <v>10047539</v>
      </c>
      <c r="J8" s="37">
        <f t="shared" si="2"/>
        <v>2251639</v>
      </c>
      <c r="K8" s="38" t="s">
        <v>18</v>
      </c>
      <c r="L8" s="8"/>
      <c r="M8" s="8"/>
      <c r="N8" s="8"/>
      <c r="O8" s="8"/>
    </row>
    <row r="9" spans="1:15" ht="15" thickBot="1" thickTop="1">
      <c r="A9" s="39">
        <v>37894</v>
      </c>
      <c r="B9" s="40">
        <v>2545317</v>
      </c>
      <c r="C9" s="40"/>
      <c r="D9" s="45"/>
      <c r="E9" s="46">
        <v>2500000</v>
      </c>
      <c r="F9" s="47">
        <v>9347232</v>
      </c>
      <c r="G9" s="48">
        <v>13000000</v>
      </c>
      <c r="H9" s="49">
        <v>38077</v>
      </c>
      <c r="I9" s="50">
        <f t="shared" si="1"/>
        <v>27392549</v>
      </c>
      <c r="J9" s="51">
        <f t="shared" si="2"/>
        <v>6698359</v>
      </c>
      <c r="K9" s="52">
        <f>ROUNDUP((J8+J9),-3)/1000</f>
        <v>8950</v>
      </c>
      <c r="L9" s="43" t="s">
        <v>19</v>
      </c>
      <c r="M9" s="30">
        <f>I4-(I5+I6+I7+I8+I9)</f>
        <v>255451880</v>
      </c>
      <c r="N9" s="8" t="s">
        <v>17</v>
      </c>
      <c r="O9" s="44">
        <f>SUM(J6:J9)</f>
        <v>20817881</v>
      </c>
    </row>
    <row r="10" spans="1:15" ht="14.25" thickTop="1">
      <c r="A10" s="31">
        <v>38077</v>
      </c>
      <c r="B10" s="32">
        <v>7028952</v>
      </c>
      <c r="C10" s="32"/>
      <c r="D10" s="33"/>
      <c r="E10" s="53"/>
      <c r="F10" s="54">
        <v>847876</v>
      </c>
      <c r="G10" s="55"/>
      <c r="H10" s="35">
        <v>38260</v>
      </c>
      <c r="I10" s="36">
        <f t="shared" si="1"/>
        <v>7876828</v>
      </c>
      <c r="J10" s="37">
        <f t="shared" si="2"/>
        <v>18261699</v>
      </c>
      <c r="K10" s="38" t="s">
        <v>20</v>
      </c>
      <c r="L10" s="8"/>
      <c r="M10" s="8"/>
      <c r="N10" s="8"/>
      <c r="O10" s="8"/>
    </row>
    <row r="11" spans="1:15" ht="13.5">
      <c r="A11" s="39">
        <v>38260</v>
      </c>
      <c r="B11" s="40">
        <v>4413562</v>
      </c>
      <c r="C11" s="40">
        <v>6239476</v>
      </c>
      <c r="D11" s="41">
        <v>187814</v>
      </c>
      <c r="E11" s="40">
        <v>110030</v>
      </c>
      <c r="F11" s="42">
        <v>1517533</v>
      </c>
      <c r="G11" s="56">
        <v>2956503</v>
      </c>
      <c r="H11" s="39">
        <v>38442</v>
      </c>
      <c r="I11" s="45">
        <f t="shared" si="1"/>
        <v>15424918</v>
      </c>
      <c r="J11" s="57">
        <f t="shared" si="2"/>
        <v>5251218</v>
      </c>
      <c r="K11" s="58">
        <f>ROUNDUP((J10+J11),-3)/1000</f>
        <v>23513</v>
      </c>
      <c r="L11" s="43" t="s">
        <v>21</v>
      </c>
      <c r="M11" s="30">
        <f>I4-(I5+I6+I7+I8+I9+I10+I11)</f>
        <v>232150134</v>
      </c>
      <c r="N11" s="8" t="s">
        <v>17</v>
      </c>
      <c r="O11" s="44">
        <f>SUM(J6:J11)</f>
        <v>44330798</v>
      </c>
    </row>
    <row r="12" spans="1:15" ht="13.5">
      <c r="A12" s="31">
        <v>38442</v>
      </c>
      <c r="B12" s="32">
        <v>16995907</v>
      </c>
      <c r="C12" s="32">
        <v>353098</v>
      </c>
      <c r="D12" s="33">
        <v>999458</v>
      </c>
      <c r="E12" s="32">
        <v>333541</v>
      </c>
      <c r="F12" s="34">
        <v>1455315</v>
      </c>
      <c r="G12" s="32">
        <v>8770636</v>
      </c>
      <c r="H12" s="59">
        <v>38625</v>
      </c>
      <c r="I12" s="60">
        <f t="shared" si="1"/>
        <v>28907955</v>
      </c>
      <c r="J12" s="61">
        <f t="shared" si="2"/>
        <v>10283278</v>
      </c>
      <c r="K12" s="62" t="s">
        <v>22</v>
      </c>
      <c r="L12" s="63"/>
      <c r="M12" s="8"/>
      <c r="N12" s="8"/>
      <c r="O12" s="8"/>
    </row>
    <row r="13" spans="1:15" ht="13.5">
      <c r="A13" s="39">
        <v>38625</v>
      </c>
      <c r="B13" s="40">
        <v>4344545</v>
      </c>
      <c r="C13" s="40">
        <v>520202</v>
      </c>
      <c r="D13" s="41">
        <v>193491</v>
      </c>
      <c r="E13" s="40">
        <v>113355</v>
      </c>
      <c r="F13" s="42">
        <v>1245312</v>
      </c>
      <c r="G13" s="40">
        <v>2389464</v>
      </c>
      <c r="H13" s="39">
        <v>38807</v>
      </c>
      <c r="I13" s="64">
        <f t="shared" si="1"/>
        <v>8806369</v>
      </c>
      <c r="J13" s="57">
        <f t="shared" si="2"/>
        <v>19271970</v>
      </c>
      <c r="K13" s="52">
        <f>ROUNDUP((J12+J13),-3)/1000</f>
        <v>29556</v>
      </c>
      <c r="L13" s="43" t="s">
        <v>23</v>
      </c>
      <c r="M13" s="30">
        <f>I4-(I5+I6+I7+I8+I9+I10+I11+I12+I13)</f>
        <v>194435810</v>
      </c>
      <c r="N13" s="8" t="s">
        <v>17</v>
      </c>
      <c r="O13" s="44">
        <f>SUM(J6:J13)</f>
        <v>73886046</v>
      </c>
    </row>
    <row r="14" spans="1:15" ht="13.5">
      <c r="A14" s="31">
        <v>38807</v>
      </c>
      <c r="B14" s="32">
        <v>14868582</v>
      </c>
      <c r="C14" s="32">
        <v>528005</v>
      </c>
      <c r="D14" s="34">
        <v>1029485</v>
      </c>
      <c r="E14" s="34">
        <v>343573</v>
      </c>
      <c r="F14" s="34">
        <f>1380765-171737</f>
        <v>1209028</v>
      </c>
      <c r="G14" s="32">
        <v>5151830</v>
      </c>
      <c r="H14" s="65">
        <v>38990</v>
      </c>
      <c r="I14" s="66">
        <f t="shared" si="1"/>
        <v>23130503</v>
      </c>
      <c r="J14" s="67">
        <f t="shared" si="2"/>
        <v>5870912</v>
      </c>
      <c r="K14" s="62" t="s">
        <v>24</v>
      </c>
      <c r="L14" s="68"/>
      <c r="M14" s="69"/>
      <c r="N14" s="70"/>
      <c r="O14" s="71"/>
    </row>
    <row r="15" spans="1:15" ht="13.5">
      <c r="A15" s="35">
        <v>38990</v>
      </c>
      <c r="B15" s="54">
        <v>4662993</v>
      </c>
      <c r="C15" s="54">
        <v>535927</v>
      </c>
      <c r="D15" s="54">
        <v>503935</v>
      </c>
      <c r="E15" s="54">
        <v>116781</v>
      </c>
      <c r="F15" s="54">
        <f>2219822+171737-171737-209176-174314-609163</f>
        <v>1227169</v>
      </c>
      <c r="G15" s="54">
        <f>2925282+10000</f>
        <v>2935282</v>
      </c>
      <c r="H15" s="72">
        <v>39172</v>
      </c>
      <c r="I15" s="73">
        <f t="shared" si="1"/>
        <v>9982087</v>
      </c>
      <c r="J15" s="73">
        <f t="shared" si="2"/>
        <v>15420335</v>
      </c>
      <c r="K15" s="52">
        <f>ROUNDUP((J14+J15),-3)/1000</f>
        <v>21292</v>
      </c>
      <c r="L15" s="29" t="s">
        <v>25</v>
      </c>
      <c r="M15" s="30">
        <f>I4-(I5+I6+I7+I8+I9+I10+I11+I12+I13+I14+I15)</f>
        <v>161323220</v>
      </c>
      <c r="N15" s="74" t="s">
        <v>17</v>
      </c>
      <c r="O15" s="75">
        <f>SUM(J6:J15)</f>
        <v>95177293</v>
      </c>
    </row>
    <row r="16" spans="1:15" ht="13.5">
      <c r="A16" s="35">
        <v>39172</v>
      </c>
      <c r="B16" s="54">
        <v>10833941</v>
      </c>
      <c r="C16" s="54">
        <v>543965</v>
      </c>
      <c r="D16" s="54">
        <v>1369577</v>
      </c>
      <c r="E16" s="53">
        <v>353905</v>
      </c>
      <c r="F16" s="53">
        <v>1240382</v>
      </c>
      <c r="G16" s="54">
        <v>6560421</v>
      </c>
      <c r="H16" s="76">
        <v>39355</v>
      </c>
      <c r="I16" s="78">
        <f t="shared" si="1"/>
        <v>20902191</v>
      </c>
      <c r="J16" s="115">
        <f t="shared" si="2"/>
        <v>6654724</v>
      </c>
      <c r="K16" s="38" t="s">
        <v>26</v>
      </c>
      <c r="L16" s="63"/>
      <c r="M16" s="8"/>
      <c r="N16" s="8"/>
      <c r="O16" s="8"/>
    </row>
    <row r="17" spans="1:15" ht="13.5">
      <c r="A17" s="31">
        <v>39355</v>
      </c>
      <c r="B17" s="32">
        <v>3947572</v>
      </c>
      <c r="C17" s="32">
        <v>552124</v>
      </c>
      <c r="D17" s="32">
        <v>313802</v>
      </c>
      <c r="E17" s="32">
        <v>120311</v>
      </c>
      <c r="F17" s="32">
        <v>1615500</v>
      </c>
      <c r="G17" s="32">
        <v>2228671</v>
      </c>
      <c r="H17" s="39">
        <v>39538</v>
      </c>
      <c r="I17" s="108">
        <f t="shared" si="1"/>
        <v>8777980</v>
      </c>
      <c r="J17" s="57">
        <f t="shared" si="2"/>
        <v>13934794</v>
      </c>
      <c r="K17" s="58">
        <f>ROUNDUP((J16+J17),-3)/1000</f>
        <v>20590</v>
      </c>
      <c r="L17" s="29" t="s">
        <v>27</v>
      </c>
      <c r="M17" s="30">
        <f>I4-(I5+I6+I7+I8+I9+I10+I11+I12+I13+I14+I15+I16+I17)</f>
        <v>131643049</v>
      </c>
      <c r="N17" s="74" t="s">
        <v>17</v>
      </c>
      <c r="O17" s="75">
        <f>SUM(J6:J17)</f>
        <v>115766811</v>
      </c>
    </row>
    <row r="18" spans="1:15" ht="13.5">
      <c r="A18" s="31">
        <v>39538</v>
      </c>
      <c r="B18" s="53">
        <v>10357300</v>
      </c>
      <c r="C18" s="53">
        <v>560407</v>
      </c>
      <c r="D18" s="53">
        <v>318509</v>
      </c>
      <c r="E18" s="53">
        <v>364549</v>
      </c>
      <c r="F18" s="53">
        <v>1100948</v>
      </c>
      <c r="G18" s="53">
        <v>5047419</v>
      </c>
      <c r="H18" s="59">
        <v>39721</v>
      </c>
      <c r="I18" s="67">
        <f t="shared" si="1"/>
        <v>17749132</v>
      </c>
      <c r="J18" s="67">
        <f t="shared" si="2"/>
        <v>5851986</v>
      </c>
      <c r="K18" s="62" t="s">
        <v>28</v>
      </c>
      <c r="L18" s="63"/>
      <c r="M18" s="8"/>
      <c r="N18" s="8"/>
      <c r="O18" s="8"/>
    </row>
    <row r="19" spans="1:15" ht="13.5">
      <c r="A19" s="39">
        <v>39721</v>
      </c>
      <c r="B19" s="42">
        <v>4775604</v>
      </c>
      <c r="C19" s="40">
        <v>568812</v>
      </c>
      <c r="D19" s="40">
        <v>323287</v>
      </c>
      <c r="E19" s="40">
        <v>123948</v>
      </c>
      <c r="F19" s="40">
        <v>1117461</v>
      </c>
      <c r="G19" s="40">
        <v>1952453</v>
      </c>
      <c r="H19" s="72">
        <v>39903</v>
      </c>
      <c r="I19" s="109">
        <f t="shared" si="1"/>
        <v>8861565</v>
      </c>
      <c r="J19" s="51">
        <f t="shared" si="2"/>
        <v>11832754</v>
      </c>
      <c r="K19" s="52">
        <f>ROUNDUP((J18+J19),-3)/1000</f>
        <v>17685</v>
      </c>
      <c r="L19" s="29" t="s">
        <v>29</v>
      </c>
      <c r="M19" s="30">
        <f>I4-(I5+I6+I7+I8+I9+I10+I11+I12+I13+I14+I15+I16+I17+I18+I19)</f>
        <v>105032352</v>
      </c>
      <c r="N19" s="74" t="s">
        <v>17</v>
      </c>
      <c r="O19" s="75">
        <f>SUM(J6:J19)</f>
        <v>133451551</v>
      </c>
    </row>
    <row r="20" spans="1:15" ht="13.5">
      <c r="A20" s="31">
        <v>39903</v>
      </c>
      <c r="B20" s="34">
        <v>9976102</v>
      </c>
      <c r="C20" s="32">
        <v>577345</v>
      </c>
      <c r="D20" s="32">
        <v>436801</v>
      </c>
      <c r="E20" s="32">
        <v>375513</v>
      </c>
      <c r="F20" s="32">
        <v>2295074</v>
      </c>
      <c r="G20" s="32">
        <v>5616085</v>
      </c>
      <c r="H20" s="59">
        <v>40086</v>
      </c>
      <c r="I20" s="67">
        <f t="shared" si="1"/>
        <v>19276920</v>
      </c>
      <c r="J20" s="61">
        <f t="shared" si="2"/>
        <v>5907710</v>
      </c>
      <c r="K20" s="62" t="s">
        <v>30</v>
      </c>
      <c r="L20" s="63"/>
      <c r="M20" s="8"/>
      <c r="N20" s="8"/>
      <c r="O20" s="8"/>
    </row>
    <row r="21" spans="1:15" s="107" customFormat="1" ht="13.5">
      <c r="A21" s="31">
        <v>40086</v>
      </c>
      <c r="B21" s="34">
        <v>3679663</v>
      </c>
      <c r="C21" s="32">
        <v>586005</v>
      </c>
      <c r="D21" s="33">
        <v>306495</v>
      </c>
      <c r="E21" s="32">
        <v>127694</v>
      </c>
      <c r="F21" s="34">
        <v>996959</v>
      </c>
      <c r="G21" s="32">
        <v>2585474</v>
      </c>
      <c r="H21" s="39">
        <v>40268</v>
      </c>
      <c r="I21" s="108">
        <f t="shared" si="1"/>
        <v>8282290</v>
      </c>
      <c r="J21" s="57">
        <f t="shared" si="2"/>
        <v>12851280</v>
      </c>
      <c r="K21" s="58">
        <f>ROUNDUP((J20+J21),-3)/1000</f>
        <v>18759</v>
      </c>
      <c r="L21" s="43" t="s">
        <v>31</v>
      </c>
      <c r="M21" s="30">
        <f>I4-(I5+I6+I7+I8+I9+I10+I11+I12+I13+I14+I15+I16+I17+I18+I19+I20+I21)</f>
        <v>77473142</v>
      </c>
      <c r="N21" s="8" t="s">
        <v>17</v>
      </c>
      <c r="O21" s="44">
        <f>SUM(J6:J21)</f>
        <v>152210541</v>
      </c>
    </row>
    <row r="22" spans="1:15" ht="13.5">
      <c r="A22" s="35">
        <v>40268</v>
      </c>
      <c r="B22" s="53">
        <v>10074130</v>
      </c>
      <c r="C22" s="53">
        <v>594795</v>
      </c>
      <c r="D22" s="77">
        <v>311092</v>
      </c>
      <c r="E22" s="53">
        <v>386807</v>
      </c>
      <c r="F22" s="54">
        <v>781581</v>
      </c>
      <c r="G22" s="53">
        <v>5455049</v>
      </c>
      <c r="H22" s="59">
        <v>40451</v>
      </c>
      <c r="I22" s="60">
        <f t="shared" si="1"/>
        <v>17603454</v>
      </c>
      <c r="J22" s="61">
        <f t="shared" si="2"/>
        <v>5521526</v>
      </c>
      <c r="K22" s="62" t="s">
        <v>32</v>
      </c>
      <c r="L22" s="63"/>
      <c r="M22" s="8"/>
      <c r="N22" s="8"/>
      <c r="O22" s="8"/>
    </row>
    <row r="23" spans="1:15" ht="13.5">
      <c r="A23" s="31">
        <v>40451</v>
      </c>
      <c r="B23" s="32">
        <v>4238485</v>
      </c>
      <c r="C23" s="32">
        <v>603716</v>
      </c>
      <c r="D23" s="33">
        <v>315759</v>
      </c>
      <c r="E23" s="32">
        <v>131553</v>
      </c>
      <c r="F23" s="34">
        <v>3193883</v>
      </c>
      <c r="G23" s="32">
        <v>3058546</v>
      </c>
      <c r="H23" s="72">
        <v>40633</v>
      </c>
      <c r="I23" s="64">
        <f t="shared" si="1"/>
        <v>11541942</v>
      </c>
      <c r="J23" s="51">
        <f t="shared" si="2"/>
        <v>11735636</v>
      </c>
      <c r="K23" s="52">
        <f>ROUNDUP((J22+J23),-3)/1000</f>
        <v>17258</v>
      </c>
      <c r="L23" s="43" t="s">
        <v>33</v>
      </c>
      <c r="M23" s="30">
        <f>I4-(I5+I6+I7+I8+I9+I10+I11+I12+I13+I14+I15+I16+I17+I18+I19+I20+I21+I22+I23)</f>
        <v>48327746</v>
      </c>
      <c r="N23" s="8" t="s">
        <v>17</v>
      </c>
      <c r="O23" s="44">
        <f>SUM(J6:J23)</f>
        <v>169467703</v>
      </c>
    </row>
    <row r="24" spans="1:15" ht="13.5">
      <c r="A24" s="35">
        <v>40633</v>
      </c>
      <c r="B24" s="53">
        <v>21880521</v>
      </c>
      <c r="C24" s="53">
        <v>612772</v>
      </c>
      <c r="D24" s="77">
        <v>320495</v>
      </c>
      <c r="E24" s="53">
        <v>398440</v>
      </c>
      <c r="F24" s="54"/>
      <c r="G24" s="53">
        <v>24592167</v>
      </c>
      <c r="H24" s="35">
        <v>40816</v>
      </c>
      <c r="I24" s="78">
        <f t="shared" si="1"/>
        <v>47804395</v>
      </c>
      <c r="J24" s="37">
        <f t="shared" si="2"/>
        <v>7694628</v>
      </c>
      <c r="K24" s="38" t="s">
        <v>34</v>
      </c>
      <c r="L24" s="63"/>
      <c r="M24" s="8"/>
      <c r="N24" s="8"/>
      <c r="O24" s="8"/>
    </row>
    <row r="25" spans="1:15" ht="13.5">
      <c r="A25" s="31">
        <v>40816</v>
      </c>
      <c r="B25" s="32"/>
      <c r="C25" s="32">
        <f>326988+196363</f>
        <v>523351</v>
      </c>
      <c r="D25" s="33"/>
      <c r="E25" s="32"/>
      <c r="F25" s="34"/>
      <c r="G25" s="32"/>
      <c r="H25" s="72">
        <v>40997</v>
      </c>
      <c r="I25" s="50">
        <f t="shared" si="1"/>
        <v>523351</v>
      </c>
      <c r="J25" s="51">
        <f t="shared" si="2"/>
        <v>31869596</v>
      </c>
      <c r="K25" s="52">
        <f>ROUNDUP((J24+J25),-3)/1000</f>
        <v>39565</v>
      </c>
      <c r="L25" s="43" t="s">
        <v>35</v>
      </c>
      <c r="M25" s="30">
        <f>I4-(I5+I6+I7+I8+I9+I10+I11+I12+I13+I14+I15+I16+I17+I18+I19+I20+I21+I22+I23+I24+I25)</f>
        <v>0</v>
      </c>
      <c r="N25" s="8" t="s">
        <v>17</v>
      </c>
      <c r="O25" s="44">
        <f>SUM(J6:J25)</f>
        <v>209031927</v>
      </c>
    </row>
    <row r="26" spans="1:15" ht="14.25">
      <c r="A26" s="31">
        <v>40997</v>
      </c>
      <c r="B26" s="32"/>
      <c r="C26" s="32"/>
      <c r="D26" s="33"/>
      <c r="E26" s="32"/>
      <c r="F26" s="34"/>
      <c r="G26" s="32"/>
      <c r="H26" s="35">
        <v>41182</v>
      </c>
      <c r="I26" s="36">
        <f t="shared" si="1"/>
        <v>0</v>
      </c>
      <c r="J26" s="37">
        <f t="shared" si="2"/>
        <v>348900</v>
      </c>
      <c r="K26" s="38" t="s">
        <v>36</v>
      </c>
      <c r="L26" s="63"/>
      <c r="M26" s="8"/>
      <c r="N26" s="8"/>
      <c r="O26" s="8"/>
    </row>
    <row r="27" spans="1:15" ht="15" thickBot="1">
      <c r="A27" s="72">
        <v>41182</v>
      </c>
      <c r="B27" s="79"/>
      <c r="C27" s="79"/>
      <c r="D27" s="80"/>
      <c r="E27" s="79"/>
      <c r="F27" s="81"/>
      <c r="G27" s="79"/>
      <c r="H27" s="72">
        <v>41361</v>
      </c>
      <c r="I27" s="50">
        <f t="shared" si="1"/>
        <v>0</v>
      </c>
      <c r="J27" s="82">
        <f>211120000-(2608747*2/3)-SUM(J6:J26)</f>
        <v>8.33333334326744</v>
      </c>
      <c r="K27" s="83">
        <f>ROUNDUP((J26+J27),-3)/1000</f>
        <v>349</v>
      </c>
      <c r="L27" s="43" t="s">
        <v>37</v>
      </c>
      <c r="M27" s="84">
        <f>I4-(I5+I6+I7+I8+I9+I10+I11+I12+I13+I14+I15+I16+I17+I18+I19+I20+I21+I22+I23+I24+I25+I26+I27)</f>
        <v>0</v>
      </c>
      <c r="N27" s="8" t="s">
        <v>17</v>
      </c>
      <c r="O27" s="85">
        <f>SUM(J6:J27)</f>
        <v>209380835.33333334</v>
      </c>
    </row>
    <row r="28" spans="1:15" ht="13.5">
      <c r="A28" s="86" t="s">
        <v>38</v>
      </c>
      <c r="B28" s="87">
        <f aca="true" t="shared" si="3" ref="B28:G28">SUM(B5:B27)</f>
        <v>162350000</v>
      </c>
      <c r="C28" s="87">
        <f t="shared" si="3"/>
        <v>17400000</v>
      </c>
      <c r="D28" s="87">
        <f t="shared" si="3"/>
        <v>6930000</v>
      </c>
      <c r="E28" s="87">
        <f t="shared" si="3"/>
        <v>5900000</v>
      </c>
      <c r="F28" s="87">
        <f t="shared" si="3"/>
        <v>29191253</v>
      </c>
      <c r="G28" s="87">
        <f t="shared" si="3"/>
        <v>92300000</v>
      </c>
      <c r="H28" s="3"/>
      <c r="I28" s="4"/>
      <c r="J28" s="4"/>
      <c r="K28" s="8"/>
      <c r="L28" s="8"/>
      <c r="M28" s="8"/>
      <c r="N28" s="8"/>
      <c r="O28" s="44" t="s">
        <v>39</v>
      </c>
    </row>
    <row r="29" spans="1:15" ht="13.5">
      <c r="A29" s="88"/>
      <c r="B29" s="4"/>
      <c r="C29" s="4"/>
      <c r="D29" s="4"/>
      <c r="E29" s="4"/>
      <c r="F29" s="89" t="s">
        <v>40</v>
      </c>
      <c r="G29" s="89"/>
      <c r="H29" s="90"/>
      <c r="I29" s="89"/>
      <c r="J29" s="89"/>
      <c r="K29" s="91"/>
      <c r="L29" s="8"/>
      <c r="M29" s="92"/>
      <c r="N29" s="8"/>
      <c r="O29" s="8"/>
    </row>
    <row r="30" spans="1:15" ht="13.5">
      <c r="A30" s="93"/>
      <c r="B30" s="4"/>
      <c r="C30" s="4"/>
      <c r="D30" s="4"/>
      <c r="E30" s="4"/>
      <c r="F30" s="89"/>
      <c r="G30" s="89"/>
      <c r="H30" s="94" t="s">
        <v>41</v>
      </c>
      <c r="I30" s="89"/>
      <c r="J30" s="91"/>
      <c r="K30" s="91"/>
      <c r="L30" s="8"/>
      <c r="M30" s="8"/>
      <c r="N30" s="8"/>
      <c r="O30" s="8"/>
    </row>
    <row r="31" spans="1:15" ht="13.5">
      <c r="A31" s="3"/>
      <c r="B31" s="4"/>
      <c r="C31" s="4"/>
      <c r="D31" s="4"/>
      <c r="E31" s="4"/>
      <c r="F31" s="89"/>
      <c r="G31" s="89"/>
      <c r="H31" s="90"/>
      <c r="I31" s="4" t="s">
        <v>42</v>
      </c>
      <c r="J31" s="95">
        <f>J22</f>
        <v>5521526</v>
      </c>
      <c r="K31" s="96" t="s">
        <v>43</v>
      </c>
      <c r="L31" s="8"/>
      <c r="M31" s="8"/>
      <c r="N31" s="8"/>
      <c r="O31" s="8"/>
    </row>
    <row r="32" spans="1:15" ht="13.5">
      <c r="A32" s="3"/>
      <c r="B32" s="4"/>
      <c r="C32" s="4"/>
      <c r="D32" s="4"/>
      <c r="E32" s="4"/>
      <c r="F32" s="4"/>
      <c r="G32" s="4"/>
      <c r="H32" s="3"/>
      <c r="I32" s="4" t="s">
        <v>44</v>
      </c>
      <c r="J32" s="95">
        <f>J23</f>
        <v>11735636</v>
      </c>
      <c r="K32" s="97" t="s">
        <v>45</v>
      </c>
      <c r="L32" s="8"/>
      <c r="M32" s="8"/>
      <c r="N32" s="8"/>
      <c r="O32" s="8"/>
    </row>
    <row r="33" spans="1:15" ht="14.25">
      <c r="A33" s="3"/>
      <c r="B33" s="4"/>
      <c r="C33" s="4"/>
      <c r="D33" s="4"/>
      <c r="E33" s="98" t="s">
        <v>46</v>
      </c>
      <c r="F33" s="4"/>
      <c r="G33" s="99">
        <f>SUM(I22:I23)</f>
        <v>29145396</v>
      </c>
      <c r="H33" s="100" t="s">
        <v>47</v>
      </c>
      <c r="I33" s="101" t="s">
        <v>48</v>
      </c>
      <c r="J33" s="102">
        <f>SUM(J31:J32)</f>
        <v>17257162</v>
      </c>
      <c r="K33" s="97" t="s">
        <v>45</v>
      </c>
      <c r="L33" s="8"/>
      <c r="M33" s="8"/>
      <c r="N33" s="8"/>
      <c r="O33" s="8"/>
    </row>
    <row r="34" spans="1:15" ht="14.25">
      <c r="A34" s="3"/>
      <c r="B34" s="4"/>
      <c r="C34" s="4"/>
      <c r="D34" s="4"/>
      <c r="E34" s="103" t="s">
        <v>49</v>
      </c>
      <c r="F34" s="95"/>
      <c r="G34" s="104">
        <f>SUM(J22:J23)</f>
        <v>17257162</v>
      </c>
      <c r="H34" s="105" t="s">
        <v>50</v>
      </c>
      <c r="I34" s="4"/>
      <c r="J34" s="5" t="s">
        <v>51</v>
      </c>
      <c r="K34" s="8"/>
      <c r="L34" s="8"/>
      <c r="M34" s="8"/>
      <c r="N34" s="8"/>
      <c r="O34" s="8"/>
    </row>
    <row r="35" spans="1:15" ht="13.5">
      <c r="A35" s="3"/>
      <c r="B35" s="4"/>
      <c r="C35" s="4"/>
      <c r="D35" s="4"/>
      <c r="E35" s="4"/>
      <c r="F35" s="4" t="s">
        <v>52</v>
      </c>
      <c r="G35" s="4"/>
      <c r="H35" s="3"/>
      <c r="I35" s="4"/>
      <c r="J35" s="4"/>
      <c r="K35" s="8"/>
      <c r="L35" s="8"/>
      <c r="M35" s="8"/>
      <c r="N35" s="8"/>
      <c r="O35" s="8"/>
    </row>
    <row r="36" spans="1:15" ht="14.25">
      <c r="A36" s="3"/>
      <c r="B36" s="4"/>
      <c r="C36" s="5"/>
      <c r="D36" s="4"/>
      <c r="E36" s="4"/>
      <c r="F36" s="4"/>
      <c r="G36" s="4"/>
      <c r="H36" s="3"/>
      <c r="I36" s="106" t="s">
        <v>53</v>
      </c>
      <c r="J36" s="99">
        <f>SUM(G33-J33)</f>
        <v>11888234</v>
      </c>
      <c r="K36" s="8" t="s">
        <v>47</v>
      </c>
      <c r="L36" s="8"/>
      <c r="M36" s="8"/>
      <c r="N36" s="8"/>
      <c r="O36" s="8"/>
    </row>
  </sheetData>
  <mergeCells count="1">
    <mergeCell ref="A1:K1"/>
  </mergeCells>
  <printOptions/>
  <pageMargins left="0.75" right="0.75" top="1" bottom="1" header="0.512" footer="0.51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2010-10-26T13:42:37Z</cp:lastPrinted>
  <dcterms:created xsi:type="dcterms:W3CDTF">1997-01-08T22:48:59Z</dcterms:created>
  <dcterms:modified xsi:type="dcterms:W3CDTF">2010-10-26T13:49:18Z</dcterms:modified>
  <cp:category/>
  <cp:version/>
  <cp:contentType/>
  <cp:contentStatus/>
</cp:coreProperties>
</file>